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5" firstSheet="1" activeTab="1"/>
  </bookViews>
  <sheets>
    <sheet name="ЗАПОЛНИТЬ" sheetId="1" state="hidden" r:id="rId1"/>
    <sheet name="СВОД" sheetId="2" r:id="rId2"/>
    <sheet name="Чистоводівський НВК" sheetId="3" r:id="rId3"/>
  </sheets>
  <definedNames>
    <definedName name="Excel_BuiltIn_Print_Area" localSheetId="2">#REF!</definedName>
    <definedName name="Excel_BuiltIn_Print_Area_8_1">#REF!</definedName>
    <definedName name="_xlnm.Print_Area" localSheetId="1">'СВОД'!$A$1:$E$48</definedName>
    <definedName name="_xlnm.Print_Area" localSheetId="2">'Чистоводівський НВК'!$A$1:$R$50</definedName>
  </definedNames>
  <calcPr fullCalcOnLoad="1"/>
</workbook>
</file>

<file path=xl/sharedStrings.xml><?xml version="1.0" encoding="utf-8"?>
<sst xmlns="http://schemas.openxmlformats.org/spreadsheetml/2006/main" count="109" uniqueCount="78">
  <si>
    <t>Для свода</t>
  </si>
  <si>
    <t>Головний бухгалтер                                                                                                                  О.М. Рулевська</t>
  </si>
  <si>
    <t>Для штатного</t>
  </si>
  <si>
    <t xml:space="preserve">Головний бухгалтер </t>
  </si>
  <si>
    <t>О.М. Рулевська</t>
  </si>
  <si>
    <t>ЗАТВЕРДЖЕНО
Наказ Міністерства фінансів України 28.01.2002 № 57 
(у редакції наказу Міністерства фінансів України від 26.11.2012 № 1220)</t>
  </si>
  <si>
    <t>Затверджую</t>
  </si>
  <si>
    <t xml:space="preserve">штат у кількості </t>
  </si>
  <si>
    <t>штатних одиниць</t>
  </si>
  <si>
    <t>з місячним фондом заробітної плати за посадовими</t>
  </si>
  <si>
    <t>окладами</t>
  </si>
  <si>
    <t>Керівник</t>
  </si>
  <si>
    <t>(число, місяць, рік)</t>
  </si>
  <si>
    <t>М.П.</t>
  </si>
  <si>
    <t>(назва установи)</t>
  </si>
  <si>
    <t>№ з/п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</si>
  <si>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</si>
  <si>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</si>
  <si>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</si>
  <si>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за посадовими окладами (грн.)</t>
  </si>
  <si>
    <t>Директор</t>
  </si>
  <si>
    <t>Заступник директора з навчальної, навчально-виховної роботи</t>
  </si>
  <si>
    <t>Практичний психолог</t>
  </si>
  <si>
    <t>Бібліотекар</t>
  </si>
  <si>
    <t>Завідувач господарства</t>
  </si>
  <si>
    <t>Робітник з комплексного обслуговування й ремонту будівель</t>
  </si>
  <si>
    <t>Кухар</t>
  </si>
  <si>
    <t>Підсобний робітник</t>
  </si>
  <si>
    <t>Сторож</t>
  </si>
  <si>
    <t>Прибиральник службових приміщень</t>
  </si>
  <si>
    <t>Машиніст (кочегар) котельні (на опалювальний сезон)</t>
  </si>
  <si>
    <t>Музичний керівник</t>
  </si>
  <si>
    <t>Вихователь</t>
  </si>
  <si>
    <t>Сестра медична старша</t>
  </si>
  <si>
    <t>Помічник вихователя для дітей віком від 3 років</t>
  </si>
  <si>
    <t>Машиніст із прання та ремонту спецодягу (білизни)</t>
  </si>
  <si>
    <t>Разом</t>
  </si>
  <si>
    <t>х</t>
  </si>
  <si>
    <t>Всього</t>
  </si>
  <si>
    <t>Вчитель</t>
  </si>
  <si>
    <t>Чистоводівський НВК</t>
  </si>
  <si>
    <t xml:space="preserve">Оператор котельні газової (на опалювальний сезон) </t>
  </si>
  <si>
    <t>(підпис)</t>
  </si>
  <si>
    <t>(ініціали і прізвище)</t>
  </si>
  <si>
    <t>Заступник директора з навчально-виховної роботи</t>
  </si>
  <si>
    <t>ЗАТВЕРДЖУЮ</t>
  </si>
  <si>
    <t>ТИПОВИЙ ШТАТНИЙ РОЗПИС</t>
  </si>
  <si>
    <t>штат у кількості</t>
  </si>
  <si>
    <t>відділ освіти Ізюмської РДА</t>
  </si>
  <si>
    <t>(посада)</t>
  </si>
  <si>
    <t> (підпис керівника)</t>
  </si>
  <si>
    <t>мін</t>
  </si>
  <si>
    <t>І тр</t>
  </si>
  <si>
    <t>М. П.</t>
  </si>
  <si>
    <t>№
з/п</t>
  </si>
  <si>
    <t>Надбавки (грн.), Доплати (грн.)</t>
  </si>
  <si>
    <t>Фонд заробітної плати на місяць (грн.)</t>
  </si>
  <si>
    <t>НМО 102 зошити</t>
  </si>
  <si>
    <t>НМО 102 кл.керівн</t>
  </si>
  <si>
    <t>НМО 102 зав каб, майст, комп</t>
  </si>
  <si>
    <t>ПКМУ 1073 особл умови 50%</t>
  </si>
  <si>
    <t>ПКМУ 1298 класність 25%</t>
  </si>
  <si>
    <t>ПКМУ1298 туалет 10%</t>
  </si>
  <si>
    <t>НМОЗ 519 підвищ 10%</t>
  </si>
  <si>
    <t>ПКМУ 1298 нічні 40%</t>
  </si>
  <si>
    <t>ПКМУ 78/84/1418 вислуга 30%</t>
  </si>
  <si>
    <t>Шкільний підрозділ</t>
  </si>
  <si>
    <t>Дошкільний підрозділ</t>
  </si>
  <si>
    <t>РАЗОМ</t>
  </si>
  <si>
    <t>Н.Д. Зеленюк</t>
  </si>
  <si>
    <t>Секретар-друкарка</t>
  </si>
  <si>
    <t>На 2018 рік</t>
  </si>
  <si>
    <t>Фонд заробітної плати на 2018 рік (грн)</t>
  </si>
  <si>
    <t>з місячним фондом заробітної плати</t>
  </si>
  <si>
    <t>ПКМУ 22 Посадовий оклад з підвищенням 10%, (грн)</t>
  </si>
  <si>
    <t>ПКМУ 373 надб 20%, 30%</t>
  </si>
  <si>
    <t xml:space="preserve"> </t>
  </si>
  <si>
    <t>ШТАТНИЙ РОЗПИС на 01.09. 2018 рік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</si>
</sst>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грн.-422];[Red]\-#,##0.00\ [$грн.-422]"/>
    <numFmt numFmtId="181" formatCode="dd/mm/yy"/>
    <numFmt numFmtId="182" formatCode="0.000"/>
    <numFmt numFmtId="183" formatCode="0.0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.5"/>
      <name val="Arial Cyr"/>
      <family val="2"/>
    </font>
    <font>
      <sz val="7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b/>
      <sz val="10.5"/>
      <name val="Arial Cyr"/>
      <family val="2"/>
    </font>
    <font>
      <sz val="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3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7"/>
      <name val="Times New Roman"/>
      <family val="1"/>
    </font>
    <font>
      <sz val="8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9" tint="0.5999900102615356"/>
      <name val="Times New Roman"/>
      <family val="1"/>
    </font>
    <font>
      <sz val="8"/>
      <color theme="9" tint="0.59999001026153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8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wrapText="1"/>
    </xf>
    <xf numFmtId="182" fontId="9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" fontId="17" fillId="0" borderId="13" xfId="0" applyNumberFormat="1" applyFont="1" applyBorder="1" applyAlignment="1">
      <alignment horizontal="right" vertical="center" wrapText="1"/>
    </xf>
    <xf numFmtId="2" fontId="18" fillId="0" borderId="13" xfId="0" applyNumberFormat="1" applyFont="1" applyBorder="1" applyAlignment="1">
      <alignment horizontal="right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right" vertical="center" wrapText="1"/>
    </xf>
    <xf numFmtId="2" fontId="19" fillId="0" borderId="14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right" vertical="center" wrapText="1"/>
    </xf>
    <xf numFmtId="0" fontId="21" fillId="0" borderId="13" xfId="0" applyFont="1" applyBorder="1" applyAlignment="1">
      <alignment horizontal="justify" vertical="center" wrapText="1"/>
    </xf>
    <xf numFmtId="2" fontId="21" fillId="0" borderId="13" xfId="0" applyNumberFormat="1" applyFont="1" applyBorder="1" applyAlignment="1">
      <alignment horizontal="right" vertical="center" wrapText="1"/>
    </xf>
    <xf numFmtId="1" fontId="21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1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182" fontId="21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2" fontId="16" fillId="0" borderId="15" xfId="0" applyNumberFormat="1" applyFont="1" applyBorder="1" applyAlignment="1">
      <alignment/>
    </xf>
    <xf numFmtId="2" fontId="16" fillId="0" borderId="15" xfId="0" applyNumberFormat="1" applyFont="1" applyBorder="1" applyAlignment="1">
      <alignment horizontal="right"/>
    </xf>
    <xf numFmtId="2" fontId="22" fillId="0" borderId="0" xfId="0" applyNumberFormat="1" applyFont="1" applyAlignment="1">
      <alignment/>
    </xf>
    <xf numFmtId="0" fontId="10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horizontal="right" wrapText="1"/>
    </xf>
    <xf numFmtId="1" fontId="9" fillId="0" borderId="11" xfId="0" applyNumberFormat="1" applyFont="1" applyBorder="1" applyAlignment="1">
      <alignment wrapText="1"/>
    </xf>
    <xf numFmtId="0" fontId="12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9" fillId="31" borderId="11" xfId="0" applyFont="1" applyFill="1" applyBorder="1" applyAlignment="1">
      <alignment horizontal="center" wrapText="1"/>
    </xf>
    <xf numFmtId="2" fontId="9" fillId="31" borderId="11" xfId="0" applyNumberFormat="1" applyFont="1" applyFill="1" applyBorder="1" applyAlignment="1">
      <alignment wrapText="1"/>
    </xf>
    <xf numFmtId="2" fontId="10" fillId="31" borderId="11" xfId="0" applyNumberFormat="1" applyFont="1" applyFill="1" applyBorder="1" applyAlignment="1">
      <alignment wrapText="1"/>
    </xf>
    <xf numFmtId="0" fontId="9" fillId="31" borderId="0" xfId="0" applyFont="1" applyFill="1" applyBorder="1" applyAlignment="1">
      <alignment/>
    </xf>
    <xf numFmtId="0" fontId="11" fillId="31" borderId="0" xfId="0" applyFont="1" applyFill="1" applyAlignment="1">
      <alignment horizontal="left" vertical="top"/>
    </xf>
    <xf numFmtId="0" fontId="0" fillId="31" borderId="0" xfId="0" applyFont="1" applyFill="1" applyAlignment="1">
      <alignment/>
    </xf>
    <xf numFmtId="14" fontId="0" fillId="0" borderId="0" xfId="0" applyNumberFormat="1" applyAlignment="1">
      <alignment/>
    </xf>
    <xf numFmtId="1" fontId="9" fillId="0" borderId="11" xfId="0" applyNumberFormat="1" applyFont="1" applyBorder="1" applyAlignment="1">
      <alignment horizontal="right" wrapText="1"/>
    </xf>
    <xf numFmtId="182" fontId="16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82" fontId="9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9" fillId="31" borderId="16" xfId="0" applyFont="1" applyFill="1" applyBorder="1" applyAlignment="1">
      <alignment horizontal="center"/>
    </xf>
    <xf numFmtId="2" fontId="9" fillId="0" borderId="11" xfId="0" applyNumberFormat="1" applyFont="1" applyBorder="1" applyAlignment="1">
      <alignment wrapText="1"/>
    </xf>
    <xf numFmtId="181" fontId="6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6" fillId="0" borderId="17" xfId="0" applyFont="1" applyBorder="1" applyAlignment="1">
      <alignment horizontal="justify" vertical="center" textRotation="90" wrapText="1"/>
    </xf>
    <xf numFmtId="2" fontId="18" fillId="0" borderId="14" xfId="0" applyNumberFormat="1" applyFont="1" applyBorder="1" applyAlignment="1">
      <alignment horizontal="right" vertical="center" wrapText="1"/>
    </xf>
    <xf numFmtId="0" fontId="23" fillId="0" borderId="0" xfId="0" applyFont="1" applyAlignment="1">
      <alignment/>
    </xf>
    <xf numFmtId="1" fontId="16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1" fontId="16" fillId="0" borderId="14" xfId="0" applyNumberFormat="1" applyFont="1" applyBorder="1" applyAlignment="1">
      <alignment horizontal="right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0" fillId="31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="133" zoomScaleNormal="133" zoomScaleSheetLayoutView="115" zoomScalePageLayoutView="0" workbookViewId="0" topLeftCell="A1">
      <selection activeCell="E15" sqref="E15"/>
    </sheetView>
  </sheetViews>
  <sheetFormatPr defaultColWidth="10.25390625" defaultRowHeight="12.75"/>
  <cols>
    <col min="1" max="9" width="10.25390625" style="0" customWidth="1"/>
    <col min="10" max="10" width="11.875" style="0" customWidth="1"/>
  </cols>
  <sheetData>
    <row r="1" ht="12.75">
      <c r="I1" t="s">
        <v>72</v>
      </c>
    </row>
    <row r="2" ht="12.75">
      <c r="C2" t="s">
        <v>71</v>
      </c>
    </row>
    <row r="4" ht="12.75">
      <c r="J4" s="65"/>
    </row>
    <row r="7" ht="12.75">
      <c r="A7" s="1" t="s">
        <v>0</v>
      </c>
    </row>
    <row r="8" ht="12.75">
      <c r="B8" s="1" t="s">
        <v>1</v>
      </c>
    </row>
    <row r="10" ht="12.75">
      <c r="A10" s="1" t="s">
        <v>2</v>
      </c>
    </row>
    <row r="11" spans="1:18" ht="12.75">
      <c r="A11" s="87" t="s">
        <v>3</v>
      </c>
      <c r="B11" s="87"/>
      <c r="C11" s="87"/>
      <c r="D11" s="2"/>
      <c r="E11" s="2"/>
      <c r="F11" s="2"/>
      <c r="G11" s="2"/>
      <c r="H11" s="2"/>
      <c r="I11" s="2"/>
      <c r="J11" s="87" t="s">
        <v>4</v>
      </c>
      <c r="K11" s="87"/>
      <c r="L11" s="2"/>
      <c r="M11" s="2"/>
      <c r="N11" s="2"/>
      <c r="O11" s="2"/>
      <c r="P11" s="2"/>
      <c r="Q11" s="2"/>
      <c r="R11" s="2"/>
    </row>
  </sheetData>
  <sheetProtection selectLockedCells="1" selectUnlockedCells="1"/>
  <mergeCells count="2">
    <mergeCell ref="A11:C11"/>
    <mergeCell ref="J11:K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145" zoomScaleNormal="145" zoomScaleSheetLayoutView="115" zoomScalePageLayoutView="0" workbookViewId="0" topLeftCell="A24">
      <selection activeCell="A11" sqref="A11:E11"/>
    </sheetView>
  </sheetViews>
  <sheetFormatPr defaultColWidth="10.25390625" defaultRowHeight="12.75"/>
  <cols>
    <col min="1" max="1" width="4.875" style="1" customWidth="1"/>
    <col min="2" max="2" width="48.25390625" style="1" customWidth="1"/>
    <col min="3" max="3" width="14.875" style="1" customWidth="1"/>
    <col min="4" max="4" width="11.875" style="1" customWidth="1"/>
    <col min="5" max="5" width="23.75390625" style="64" customWidth="1"/>
  </cols>
  <sheetData>
    <row r="1" spans="1:5" ht="32.25" customHeight="1">
      <c r="A1" s="58"/>
      <c r="B1" s="58"/>
      <c r="C1" s="88" t="s">
        <v>5</v>
      </c>
      <c r="D1" s="88"/>
      <c r="E1" s="88"/>
    </row>
    <row r="2" spans="1:5" ht="13.5">
      <c r="A2" s="58"/>
      <c r="B2" s="58"/>
      <c r="C2" s="56" t="s">
        <v>6</v>
      </c>
      <c r="D2" s="56"/>
      <c r="E2" s="56"/>
    </row>
    <row r="3" spans="1:5" ht="13.5">
      <c r="A3" s="58"/>
      <c r="B3" s="58"/>
      <c r="C3" s="56" t="s">
        <v>7</v>
      </c>
      <c r="D3" s="56">
        <f>C43</f>
        <v>36.25</v>
      </c>
      <c r="E3" s="57" t="s">
        <v>8</v>
      </c>
    </row>
    <row r="4" spans="1:5" ht="13.5">
      <c r="A4" s="58"/>
      <c r="B4" s="58"/>
      <c r="C4" s="56" t="s">
        <v>9</v>
      </c>
      <c r="D4" s="56"/>
      <c r="E4" s="56"/>
    </row>
    <row r="5" spans="1:5" ht="13.5">
      <c r="A5" s="58"/>
      <c r="B5" s="58"/>
      <c r="C5" s="56" t="s">
        <v>10</v>
      </c>
      <c r="D5" s="89">
        <f>E43</f>
        <v>135798.49</v>
      </c>
      <c r="E5" s="89"/>
    </row>
    <row r="6" spans="1:5" ht="13.5">
      <c r="A6" s="58"/>
      <c r="B6" s="58"/>
      <c r="C6" s="78" t="s">
        <v>20</v>
      </c>
      <c r="D6" s="56"/>
      <c r="E6" s="56"/>
    </row>
    <row r="7" spans="1:5" ht="13.5">
      <c r="A7" s="58"/>
      <c r="B7" s="58"/>
      <c r="C7" s="77"/>
      <c r="D7" s="73"/>
      <c r="E7" s="74" t="s">
        <v>69</v>
      </c>
    </row>
    <row r="8" spans="1:5" ht="13.5">
      <c r="A8" s="58"/>
      <c r="B8" s="58"/>
      <c r="C8" s="56" t="s">
        <v>12</v>
      </c>
      <c r="D8" s="56"/>
      <c r="E8" s="57" t="s">
        <v>13</v>
      </c>
    </row>
    <row r="9" spans="1:5" ht="13.5">
      <c r="A9" s="58"/>
      <c r="B9" s="58"/>
      <c r="C9" s="58"/>
      <c r="D9" s="58"/>
      <c r="E9" s="58"/>
    </row>
    <row r="10" spans="1:6" ht="13.5">
      <c r="A10" s="90" t="s">
        <v>77</v>
      </c>
      <c r="B10" s="90"/>
      <c r="C10" s="90"/>
      <c r="D10" s="90"/>
      <c r="E10" s="90"/>
      <c r="F10" s="14"/>
    </row>
    <row r="11" spans="1:6" ht="13.5" customHeight="1">
      <c r="A11" s="94"/>
      <c r="B11" s="94"/>
      <c r="C11" s="94"/>
      <c r="D11" s="94"/>
      <c r="E11" s="94"/>
      <c r="F11" s="14"/>
    </row>
    <row r="12" spans="1:5" ht="13.5">
      <c r="A12" s="91" t="s">
        <v>40</v>
      </c>
      <c r="B12" s="91"/>
      <c r="C12" s="91"/>
      <c r="D12" s="91"/>
      <c r="E12" s="91"/>
    </row>
    <row r="13" spans="1:5" ht="12.75">
      <c r="A13" s="92" t="s">
        <v>14</v>
      </c>
      <c r="B13" s="92"/>
      <c r="C13" s="92"/>
      <c r="D13" s="92"/>
      <c r="E13" s="92"/>
    </row>
    <row r="14" spans="1:5" ht="39.75" customHeight="1">
      <c r="A14" s="3" t="s">
        <v>15</v>
      </c>
      <c r="B14" s="3" t="s">
        <v>16</v>
      </c>
      <c r="C14" s="3" t="s">
        <v>17</v>
      </c>
      <c r="D14" s="3" t="s">
        <v>18</v>
      </c>
      <c r="E14" s="59" t="s">
        <v>19</v>
      </c>
    </row>
    <row r="15" spans="1:5" ht="12.75">
      <c r="A15" s="3">
        <v>1</v>
      </c>
      <c r="B15" s="3">
        <v>2</v>
      </c>
      <c r="C15" s="3">
        <v>3</v>
      </c>
      <c r="D15" s="3">
        <v>4</v>
      </c>
      <c r="E15" s="59">
        <v>5</v>
      </c>
    </row>
    <row r="16" spans="1:6" ht="12.75">
      <c r="A16" s="4">
        <v>1</v>
      </c>
      <c r="B16" s="4" t="s">
        <v>40</v>
      </c>
      <c r="C16" s="4"/>
      <c r="D16" s="4"/>
      <c r="E16" s="61"/>
      <c r="F16" s="14"/>
    </row>
    <row r="17" spans="1:5" ht="12.75">
      <c r="A17" s="4"/>
      <c r="B17" s="6" t="str">
        <f>'Чистоводівський НВК'!B17</f>
        <v>Директор</v>
      </c>
      <c r="C17" s="85">
        <f>'Чистоводівський НВК'!C17</f>
        <v>1</v>
      </c>
      <c r="D17" s="54">
        <f>'Чистоводівський НВК'!F17</f>
        <v>5001</v>
      </c>
      <c r="E17" s="60">
        <f aca="true" t="shared" si="0" ref="E17:E40">ROUND(D17*C17,0)</f>
        <v>5001</v>
      </c>
    </row>
    <row r="18" spans="1:5" ht="27" customHeight="1">
      <c r="A18" s="4"/>
      <c r="B18" s="6" t="str">
        <f>'Чистоводівський НВК'!B19</f>
        <v>Заступник директора з навчальної, навчально-виховної роботи</v>
      </c>
      <c r="C18" s="85">
        <f>'Чистоводівський НВК'!C19</f>
        <v>1.5</v>
      </c>
      <c r="D18" s="54">
        <f>'Чистоводівський НВК'!F19</f>
        <v>4501</v>
      </c>
      <c r="E18" s="60">
        <f t="shared" si="0"/>
        <v>6752</v>
      </c>
    </row>
    <row r="19" spans="1:5" ht="12.75" hidden="1">
      <c r="A19" s="4"/>
      <c r="B19" s="6" t="s">
        <v>22</v>
      </c>
      <c r="C19" s="85">
        <v>0</v>
      </c>
      <c r="D19" s="54">
        <f>'Чистоводівський НВК'!D20</f>
        <v>0</v>
      </c>
      <c r="E19" s="60">
        <f t="shared" si="0"/>
        <v>0</v>
      </c>
    </row>
    <row r="20" spans="1:5" ht="12.75">
      <c r="A20" s="5"/>
      <c r="B20" s="6" t="str">
        <f>'Чистоводівський НВК'!B21</f>
        <v>Бібліотекар</v>
      </c>
      <c r="C20" s="85">
        <f>'Чистоводівський НВК'!C21</f>
        <v>0.5</v>
      </c>
      <c r="D20" s="54">
        <f>'Чистоводівський НВК'!D21</f>
        <v>2889.68</v>
      </c>
      <c r="E20" s="60">
        <f t="shared" si="0"/>
        <v>1445</v>
      </c>
    </row>
    <row r="21" spans="1:5" ht="12.75">
      <c r="A21" s="5"/>
      <c r="B21" s="6" t="str">
        <f>'Чистоводівський НВК'!B22</f>
        <v>Секретар-друкарка</v>
      </c>
      <c r="C21" s="85">
        <f>'Чистоводівський НВК'!C22</f>
        <v>0.5</v>
      </c>
      <c r="D21" s="54">
        <f>'Чистоводівський НВК'!D22</f>
        <v>2237.7400000000002</v>
      </c>
      <c r="E21" s="60">
        <f t="shared" si="0"/>
        <v>1119</v>
      </c>
    </row>
    <row r="22" spans="1:5" ht="12.75">
      <c r="A22" s="5"/>
      <c r="B22" s="6" t="str">
        <f>'Чистоводівський НВК'!B23</f>
        <v>Завідувач господарства</v>
      </c>
      <c r="C22" s="85">
        <f>'Чистоводівський НВК'!C23</f>
        <v>0</v>
      </c>
      <c r="D22" s="54">
        <f>'Чистоводівський НВК'!D23</f>
        <v>2713.48</v>
      </c>
      <c r="E22" s="60">
        <f t="shared" si="0"/>
        <v>0</v>
      </c>
    </row>
    <row r="23" spans="1:5" ht="25.5">
      <c r="A23" s="5"/>
      <c r="B23" s="6" t="str">
        <f>'Чистоводівський НВК'!B24</f>
        <v>Робітник з комплексного обслуговування й ремонту будівель</v>
      </c>
      <c r="C23" s="85">
        <f>'Чистоводівський НВК'!C24</f>
        <v>1</v>
      </c>
      <c r="D23" s="54">
        <f>'Чистоводівський НВК'!D24</f>
        <v>1920.5800000000002</v>
      </c>
      <c r="E23" s="60">
        <f t="shared" si="0"/>
        <v>1921</v>
      </c>
    </row>
    <row r="24" spans="1:5" ht="12.75">
      <c r="A24" s="5"/>
      <c r="B24" s="6" t="str">
        <f>'Чистоводівський НВК'!B25</f>
        <v>Кухар</v>
      </c>
      <c r="C24" s="85">
        <f>'Чистоводівський НВК'!C25</f>
        <v>0.5</v>
      </c>
      <c r="D24" s="54">
        <f>'Чистоводівський НВК'!D25</f>
        <v>2079.16</v>
      </c>
      <c r="E24" s="60">
        <f t="shared" si="0"/>
        <v>1040</v>
      </c>
    </row>
    <row r="25" spans="1:5" ht="12.75">
      <c r="A25" s="5"/>
      <c r="B25" s="6" t="str">
        <f>'Чистоводівський НВК'!B26</f>
        <v>Підсобний робітник</v>
      </c>
      <c r="C25" s="85">
        <f>'Чистоводівський НВК'!C26</f>
        <v>0.5</v>
      </c>
      <c r="D25" s="54">
        <f>'Чистоводівський НВК'!D26</f>
        <v>1762</v>
      </c>
      <c r="E25" s="60">
        <f t="shared" si="0"/>
        <v>881</v>
      </c>
    </row>
    <row r="26" spans="1:5" ht="12.75">
      <c r="A26" s="5"/>
      <c r="B26" s="6" t="str">
        <f>'Чистоводівський НВК'!B27</f>
        <v>Сторож</v>
      </c>
      <c r="C26" s="85">
        <f>'Чистоводівський НВК'!C27</f>
        <v>1</v>
      </c>
      <c r="D26" s="54">
        <f>'Чистоводівський НВК'!D27</f>
        <v>1762</v>
      </c>
      <c r="E26" s="60">
        <f t="shared" si="0"/>
        <v>1762</v>
      </c>
    </row>
    <row r="27" spans="1:5" ht="12.75">
      <c r="A27" s="5"/>
      <c r="B27" s="6" t="str">
        <f>'Чистоводівський НВК'!B28</f>
        <v>Прибиральник службових приміщень</v>
      </c>
      <c r="C27" s="85">
        <f>'Чистоводівський НВК'!C28</f>
        <v>1.3</v>
      </c>
      <c r="D27" s="54">
        <f>'Чистоводівський НВК'!D28</f>
        <v>1762</v>
      </c>
      <c r="E27" s="60">
        <f t="shared" si="0"/>
        <v>2291</v>
      </c>
    </row>
    <row r="28" spans="1:5" ht="12.75">
      <c r="A28" s="5"/>
      <c r="B28" s="6" t="str">
        <f>'Чистоводівський НВК'!B29</f>
        <v>Машиніст (кочегар) котельні (на опалювальний сезон)</v>
      </c>
      <c r="C28" s="85">
        <f>'Чистоводівський НВК'!C29</f>
        <v>1</v>
      </c>
      <c r="D28" s="54">
        <f>'Чистоводівський НВК'!D29</f>
        <v>1920.5800000000002</v>
      </c>
      <c r="E28" s="60">
        <f t="shared" si="0"/>
        <v>1921</v>
      </c>
    </row>
    <row r="29" spans="2:5" ht="12.75">
      <c r="B29" s="54" t="str">
        <f>'Чистоводівський НВК'!B31</f>
        <v>Заступник директора з навчально-виховної роботи</v>
      </c>
      <c r="C29" s="76">
        <f>'Чистоводівський НВК'!C31</f>
        <v>1</v>
      </c>
      <c r="D29" s="54">
        <f>'Чистоводівський НВК'!D31</f>
        <v>4091.364</v>
      </c>
      <c r="E29" s="60">
        <f t="shared" si="0"/>
        <v>4091</v>
      </c>
    </row>
    <row r="30" spans="1:5" ht="12.75">
      <c r="A30" s="5"/>
      <c r="B30" s="54" t="str">
        <f>'Чистоводівський НВК'!B32</f>
        <v>Музичний керівник</v>
      </c>
      <c r="C30" s="76">
        <f>'Чистоводівський НВК'!C32</f>
        <v>0.25</v>
      </c>
      <c r="D30" s="54">
        <f>'Чистоводівський НВК'!D32</f>
        <v>3735.44</v>
      </c>
      <c r="E30" s="60">
        <f t="shared" si="0"/>
        <v>934</v>
      </c>
    </row>
    <row r="31" spans="1:5" ht="12.75">
      <c r="A31" s="5"/>
      <c r="B31" s="54" t="str">
        <f>'Чистоводівський НВК'!B33</f>
        <v>Вихователь</v>
      </c>
      <c r="C31" s="76">
        <f>'Чистоводівський НВК'!C33</f>
        <v>1.8</v>
      </c>
      <c r="D31" s="54">
        <f>'Чистоводівський НВК'!D33</f>
        <v>4264.04</v>
      </c>
      <c r="E31" s="60">
        <f t="shared" si="0"/>
        <v>7675</v>
      </c>
    </row>
    <row r="32" spans="1:5" ht="12.75">
      <c r="A32" s="5"/>
      <c r="B32" s="54" t="str">
        <f>'Чистоводівський НВК'!B34</f>
        <v>Сестра медична старша</v>
      </c>
      <c r="C32" s="76">
        <f>'Чистоводівський НВК'!C34</f>
        <v>0.5</v>
      </c>
      <c r="D32" s="54">
        <f>'Чистоводівський НВК'!D34</f>
        <v>2889.68</v>
      </c>
      <c r="E32" s="60">
        <f t="shared" si="0"/>
        <v>1445</v>
      </c>
    </row>
    <row r="33" spans="1:5" ht="12.75">
      <c r="A33" s="5"/>
      <c r="B33" s="54" t="str">
        <f>'Чистоводівський НВК'!B35</f>
        <v>Завідувач господарства</v>
      </c>
      <c r="C33" s="76">
        <f>'Чистоводівський НВК'!C35</f>
        <v>0.5</v>
      </c>
      <c r="D33" s="54">
        <f>'Чистоводівський НВК'!D35</f>
        <v>2713.48</v>
      </c>
      <c r="E33" s="60">
        <f t="shared" si="0"/>
        <v>1357</v>
      </c>
    </row>
    <row r="34" spans="1:5" ht="12.75">
      <c r="A34" s="5"/>
      <c r="B34" s="54" t="str">
        <f>'Чистоводівський НВК'!B36</f>
        <v>Помічник вихователя для дітей віком від 3 років</v>
      </c>
      <c r="C34" s="76">
        <f>'Чистоводівський НВК'!C36</f>
        <v>1.15</v>
      </c>
      <c r="D34" s="54">
        <f>'Чистоводівський НВК'!D36</f>
        <v>2396.32</v>
      </c>
      <c r="E34" s="60">
        <f t="shared" si="0"/>
        <v>2756</v>
      </c>
    </row>
    <row r="35" spans="1:5" ht="12.75">
      <c r="A35" s="5"/>
      <c r="B35" s="54" t="str">
        <f>'Чистоводівський НВК'!B37</f>
        <v>Кухар</v>
      </c>
      <c r="C35" s="76">
        <f>'Чистоводівський НВК'!C37</f>
        <v>1</v>
      </c>
      <c r="D35" s="54">
        <f>'Чистоводівський НВК'!D37</f>
        <v>2079.16</v>
      </c>
      <c r="E35" s="60">
        <f t="shared" si="0"/>
        <v>2079</v>
      </c>
    </row>
    <row r="36" spans="1:5" ht="12.75">
      <c r="A36" s="5"/>
      <c r="B36" s="54" t="str">
        <f>'Чистоводівський НВК'!B38</f>
        <v>Підсобний робітник</v>
      </c>
      <c r="C36" s="76">
        <f>'Чистоводівський НВК'!C38</f>
        <v>0.5</v>
      </c>
      <c r="D36" s="54">
        <f>'Чистоводівський НВК'!D38</f>
        <v>1762</v>
      </c>
      <c r="E36" s="60">
        <f t="shared" si="0"/>
        <v>881</v>
      </c>
    </row>
    <row r="37" spans="1:5" ht="12.75">
      <c r="A37" s="5"/>
      <c r="B37" s="54" t="str">
        <f>'Чистоводівський НВК'!B39</f>
        <v>Машиніст із прання та ремонту спецодягу (білизни)</v>
      </c>
      <c r="C37" s="76">
        <f>'Чистоводівський НВК'!C39</f>
        <v>0.25</v>
      </c>
      <c r="D37" s="54">
        <f>'Чистоводівський НВК'!D39</f>
        <v>1920.5800000000002</v>
      </c>
      <c r="E37" s="60">
        <f t="shared" si="0"/>
        <v>480</v>
      </c>
    </row>
    <row r="38" spans="1:5" ht="12.75">
      <c r="A38" s="5"/>
      <c r="B38" s="54" t="str">
        <f>'Чистоводівський НВК'!B40</f>
        <v>Прибиральник службових приміщень</v>
      </c>
      <c r="C38" s="76">
        <f>'Чистоводівський НВК'!C40</f>
        <v>0.5</v>
      </c>
      <c r="D38" s="54">
        <f>'Чистоводівський НВК'!D40</f>
        <v>1762</v>
      </c>
      <c r="E38" s="60">
        <f t="shared" si="0"/>
        <v>881</v>
      </c>
    </row>
    <row r="39" spans="1:5" ht="12.75">
      <c r="A39" s="5"/>
      <c r="B39" s="54" t="str">
        <f>'Чистоводівський НВК'!B41</f>
        <v>Оператор котельні газової (на опалювальний сезон) </v>
      </c>
      <c r="C39" s="76">
        <f>'Чистоводівський НВК'!C41</f>
        <v>1</v>
      </c>
      <c r="D39" s="54">
        <f>'Чистоводівський НВК'!D41</f>
        <v>1920.5800000000002</v>
      </c>
      <c r="E39" s="60">
        <f t="shared" si="0"/>
        <v>1921</v>
      </c>
    </row>
    <row r="40" spans="1:5" ht="12.75">
      <c r="A40" s="5"/>
      <c r="B40" s="54" t="str">
        <f>'Чистоводівський НВК'!B42</f>
        <v>Сторож</v>
      </c>
      <c r="C40" s="76">
        <f>'Чистоводівський НВК'!C42</f>
        <v>1</v>
      </c>
      <c r="D40" s="54">
        <f>'Чистоводівський НВК'!D42</f>
        <v>1762</v>
      </c>
      <c r="E40" s="60">
        <f t="shared" si="0"/>
        <v>1762</v>
      </c>
    </row>
    <row r="41" spans="1:5" s="9" customFormat="1" ht="12.75">
      <c r="A41" s="4"/>
      <c r="B41" s="4" t="s">
        <v>36</v>
      </c>
      <c r="C41" s="4">
        <f>SUM(C17:C40)</f>
        <v>18.25</v>
      </c>
      <c r="D41" s="7" t="s">
        <v>37</v>
      </c>
      <c r="E41" s="61">
        <f>SUM(E17:E40)</f>
        <v>50395</v>
      </c>
    </row>
    <row r="42" spans="1:5" s="1" customFormat="1" ht="12.75">
      <c r="A42" s="5"/>
      <c r="B42" s="5" t="s">
        <v>39</v>
      </c>
      <c r="C42" s="8">
        <f>'Чистоводівський НВК'!C44</f>
        <v>18</v>
      </c>
      <c r="D42" s="66">
        <f>'Чистоводівський НВК'!D44</f>
        <v>4744.638333333332</v>
      </c>
      <c r="E42" s="60">
        <f>C42*D42</f>
        <v>85403.48999999999</v>
      </c>
    </row>
    <row r="43" spans="1:5" s="55" customFormat="1" ht="12.75">
      <c r="A43" s="52"/>
      <c r="B43" s="52" t="s">
        <v>38</v>
      </c>
      <c r="C43" s="52">
        <f>C41+C42</f>
        <v>36.25</v>
      </c>
      <c r="D43" s="53" t="s">
        <v>37</v>
      </c>
      <c r="E43" s="61">
        <f>E41+E42</f>
        <v>135798.49</v>
      </c>
    </row>
    <row r="44" spans="1:5" ht="12.75">
      <c r="A44" s="10"/>
      <c r="B44" s="10"/>
      <c r="C44" s="10"/>
      <c r="D44" s="10"/>
      <c r="E44" s="62"/>
    </row>
    <row r="45" spans="1:5" ht="12.75">
      <c r="A45" s="10"/>
      <c r="B45" s="10" t="str">
        <f>C6</f>
        <v>Директор</v>
      </c>
      <c r="C45" s="68" t="s">
        <v>42</v>
      </c>
      <c r="D45" s="10"/>
      <c r="E45" s="75" t="s">
        <v>69</v>
      </c>
    </row>
    <row r="46" spans="1:5" ht="12.75">
      <c r="A46" s="10"/>
      <c r="B46" s="10"/>
      <c r="C46" s="10"/>
      <c r="D46" s="10"/>
      <c r="E46" s="62"/>
    </row>
    <row r="47" spans="1:5" ht="14.25" customHeight="1">
      <c r="A47" s="11"/>
      <c r="B47" s="93" t="s">
        <v>1</v>
      </c>
      <c r="C47" s="93"/>
      <c r="D47" s="93"/>
      <c r="E47" s="93"/>
    </row>
    <row r="48" spans="1:5" ht="12.75">
      <c r="A48" s="11"/>
      <c r="B48" s="12" t="s">
        <v>13</v>
      </c>
      <c r="C48" s="13" t="s">
        <v>42</v>
      </c>
      <c r="E48" s="63" t="s">
        <v>43</v>
      </c>
    </row>
    <row r="64" ht="12.75">
      <c r="E64" s="86" t="s">
        <v>76</v>
      </c>
    </row>
  </sheetData>
  <sheetProtection selectLockedCells="1" selectUnlockedCells="1"/>
  <mergeCells count="7">
    <mergeCell ref="C1:E1"/>
    <mergeCell ref="D5:E5"/>
    <mergeCell ref="A10:E10"/>
    <mergeCell ref="A12:E12"/>
    <mergeCell ref="A13:E13"/>
    <mergeCell ref="B47:E47"/>
    <mergeCell ref="A11:E11"/>
  </mergeCells>
  <printOptions/>
  <pageMargins left="0.7875" right="0.39375" top="0.40555555555555556" bottom="0.40555555555555556" header="0.5118055555555555" footer="0.5118055555555555"/>
  <pageSetup fitToHeight="6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133" zoomScaleNormal="133" zoomScaleSheetLayoutView="115" zoomScalePageLayoutView="0" workbookViewId="0" topLeftCell="A17">
      <selection activeCell="G45" sqref="G45"/>
    </sheetView>
  </sheetViews>
  <sheetFormatPr defaultColWidth="9.00390625" defaultRowHeight="12.75"/>
  <cols>
    <col min="1" max="1" width="3.75390625" style="15" customWidth="1"/>
    <col min="2" max="2" width="39.00390625" style="15" customWidth="1"/>
    <col min="3" max="3" width="6.625" style="15" customWidth="1"/>
    <col min="4" max="4" width="7.625" style="15" customWidth="1"/>
    <col min="5" max="5" width="3.875" style="15" customWidth="1"/>
    <col min="6" max="6" width="6.25390625" style="15" customWidth="1"/>
    <col min="7" max="7" width="7.00390625" style="15" customWidth="1"/>
    <col min="8" max="8" width="6.75390625" style="15" customWidth="1"/>
    <col min="9" max="9" width="6.00390625" style="15" customWidth="1"/>
    <col min="10" max="10" width="6.875" style="15" customWidth="1"/>
    <col min="11" max="11" width="6.125" style="15" customWidth="1"/>
    <col min="12" max="12" width="4.375" style="15" customWidth="1"/>
    <col min="13" max="14" width="5.00390625" style="15" customWidth="1"/>
    <col min="15" max="15" width="9.375" style="15" customWidth="1"/>
    <col min="16" max="16" width="7.25390625" style="15" customWidth="1"/>
    <col min="17" max="16384" width="9.125" style="15" customWidth="1"/>
  </cols>
  <sheetData>
    <row r="1" spans="14:18" ht="12.75" customHeight="1">
      <c r="N1" s="110" t="s">
        <v>5</v>
      </c>
      <c r="O1" s="110"/>
      <c r="P1" s="110"/>
      <c r="Q1" s="110"/>
      <c r="R1" s="110"/>
    </row>
    <row r="2" spans="14:18" ht="12.75">
      <c r="N2" s="110"/>
      <c r="O2" s="110"/>
      <c r="P2" s="110"/>
      <c r="Q2" s="110"/>
      <c r="R2" s="110"/>
    </row>
    <row r="3" spans="14:18" ht="17.25" customHeight="1">
      <c r="N3" s="110"/>
      <c r="O3" s="110"/>
      <c r="P3" s="110"/>
      <c r="Q3" s="110"/>
      <c r="R3" s="110"/>
    </row>
    <row r="4" spans="14:18" ht="17.25" customHeight="1">
      <c r="N4" s="16"/>
      <c r="O4" s="17" t="s">
        <v>45</v>
      </c>
      <c r="P4" s="16"/>
      <c r="Q4" s="16"/>
      <c r="R4" s="16"/>
    </row>
    <row r="5" spans="2:18" ht="18.75" customHeight="1">
      <c r="B5" s="18" t="s">
        <v>46</v>
      </c>
      <c r="M5" s="20"/>
      <c r="N5" s="19" t="s">
        <v>47</v>
      </c>
      <c r="O5" s="20"/>
      <c r="P5" s="69">
        <f>C45</f>
        <v>36.25</v>
      </c>
      <c r="Q5" s="19" t="s">
        <v>8</v>
      </c>
      <c r="R5" s="20"/>
    </row>
    <row r="6" spans="3:18" ht="15.75">
      <c r="C6" s="21" t="str">
        <f>ЗАПОЛНИТЬ!C2</f>
        <v>На 2018 рік</v>
      </c>
      <c r="N6" s="114" t="s">
        <v>73</v>
      </c>
      <c r="O6" s="114"/>
      <c r="P6" s="114"/>
      <c r="Q6" s="114"/>
      <c r="R6" s="114"/>
    </row>
    <row r="7" spans="14:18" ht="12.75">
      <c r="N7" s="115">
        <f>Q45</f>
        <v>196514.4963571178</v>
      </c>
      <c r="O7" s="115"/>
      <c r="P7" s="115"/>
      <c r="Q7" s="115"/>
      <c r="R7" s="22"/>
    </row>
    <row r="8" spans="14:18" ht="12.75">
      <c r="N8" s="111" t="s">
        <v>20</v>
      </c>
      <c r="O8" s="111"/>
      <c r="P8" s="111"/>
      <c r="Q8" s="111"/>
      <c r="R8" s="111"/>
    </row>
    <row r="9" spans="2:16" ht="12.75">
      <c r="B9" s="23" t="s">
        <v>48</v>
      </c>
      <c r="C9" s="23" t="s">
        <v>40</v>
      </c>
      <c r="D9" s="23"/>
      <c r="E9" s="23"/>
      <c r="F9" s="23"/>
      <c r="G9" s="23"/>
      <c r="P9" s="24" t="s">
        <v>49</v>
      </c>
    </row>
    <row r="10" spans="3:18" ht="12.75">
      <c r="C10" s="25" t="s">
        <v>14</v>
      </c>
      <c r="N10" s="23"/>
      <c r="O10" s="23"/>
      <c r="P10" s="23"/>
      <c r="Q10" s="116" t="s">
        <v>69</v>
      </c>
      <c r="R10" s="116"/>
    </row>
    <row r="11" spans="14:17" ht="12.75">
      <c r="N11" s="25" t="s">
        <v>50</v>
      </c>
      <c r="Q11" s="25" t="s">
        <v>43</v>
      </c>
    </row>
    <row r="12" spans="4:15" ht="12.75">
      <c r="D12" s="70">
        <v>3723</v>
      </c>
      <c r="E12" s="70" t="s">
        <v>51</v>
      </c>
      <c r="F12" s="81"/>
      <c r="N12" s="112"/>
      <c r="O12" s="113"/>
    </row>
    <row r="13" spans="4:18" ht="15.75">
      <c r="D13" s="70">
        <v>1762</v>
      </c>
      <c r="E13" s="70" t="s">
        <v>52</v>
      </c>
      <c r="F13" s="81"/>
      <c r="N13" s="25" t="s">
        <v>12</v>
      </c>
      <c r="R13" s="17" t="s">
        <v>53</v>
      </c>
    </row>
    <row r="14" spans="1:18" ht="12.75" customHeight="1">
      <c r="A14" s="95" t="s">
        <v>54</v>
      </c>
      <c r="B14" s="96" t="s">
        <v>16</v>
      </c>
      <c r="C14" s="96" t="s">
        <v>17</v>
      </c>
      <c r="D14" s="97" t="s">
        <v>18</v>
      </c>
      <c r="E14" s="105"/>
      <c r="F14" s="102" t="s">
        <v>74</v>
      </c>
      <c r="G14" s="98" t="s">
        <v>55</v>
      </c>
      <c r="H14" s="98"/>
      <c r="I14" s="98"/>
      <c r="J14" s="98"/>
      <c r="K14" s="98"/>
      <c r="L14" s="98"/>
      <c r="M14" s="98"/>
      <c r="N14" s="98"/>
      <c r="O14" s="98"/>
      <c r="P14" s="99"/>
      <c r="Q14" s="96" t="s">
        <v>56</v>
      </c>
      <c r="R14" s="96" t="str">
        <f>ЗАПОЛНИТЬ!I1</f>
        <v>Фонд заробітної плати на 2018 рік (грн)</v>
      </c>
    </row>
    <row r="15" spans="1:18" ht="15" customHeight="1">
      <c r="A15" s="95"/>
      <c r="B15" s="96"/>
      <c r="C15" s="96"/>
      <c r="D15" s="97"/>
      <c r="E15" s="106"/>
      <c r="F15" s="103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96"/>
      <c r="R15" s="96"/>
    </row>
    <row r="16" spans="1:18" ht="96.75" customHeight="1">
      <c r="A16" s="95"/>
      <c r="B16" s="96"/>
      <c r="C16" s="96"/>
      <c r="D16" s="97"/>
      <c r="E16" s="107"/>
      <c r="F16" s="104"/>
      <c r="G16" s="79" t="s">
        <v>57</v>
      </c>
      <c r="H16" s="27" t="s">
        <v>58</v>
      </c>
      <c r="I16" s="27" t="s">
        <v>59</v>
      </c>
      <c r="J16" s="27" t="s">
        <v>75</v>
      </c>
      <c r="K16" s="27" t="s">
        <v>60</v>
      </c>
      <c r="L16" s="27" t="s">
        <v>61</v>
      </c>
      <c r="M16" s="27" t="s">
        <v>62</v>
      </c>
      <c r="N16" s="27" t="s">
        <v>63</v>
      </c>
      <c r="O16" s="27" t="s">
        <v>64</v>
      </c>
      <c r="P16" s="27" t="s">
        <v>65</v>
      </c>
      <c r="Q16" s="96"/>
      <c r="R16" s="96"/>
    </row>
    <row r="17" spans="1:18" ht="12.75">
      <c r="A17" s="28">
        <v>1</v>
      </c>
      <c r="B17" s="29" t="s">
        <v>20</v>
      </c>
      <c r="C17" s="26">
        <v>1</v>
      </c>
      <c r="D17" s="30">
        <f>E17*D$13</f>
        <v>4545.96</v>
      </c>
      <c r="E17" s="80">
        <v>2.58</v>
      </c>
      <c r="F17" s="84">
        <f>ROUND(D17*1.1,0)</f>
        <v>5001</v>
      </c>
      <c r="G17" s="32"/>
      <c r="H17" s="32"/>
      <c r="I17" s="32"/>
      <c r="J17" s="32">
        <f>F17*C17*0.3</f>
        <v>1500.3</v>
      </c>
      <c r="K17" s="32"/>
      <c r="L17" s="32"/>
      <c r="M17" s="32"/>
      <c r="N17" s="32"/>
      <c r="O17" s="32"/>
      <c r="P17" s="32">
        <f>F17*C17*0.3</f>
        <v>1500.3</v>
      </c>
      <c r="Q17" s="33">
        <f>F17*C17+G17+H17+I17+J17+K17+L17+M17+N17+O17+P17</f>
        <v>8001.6</v>
      </c>
      <c r="R17" s="34">
        <f>ROUND(Q17*12,2)</f>
        <v>96019.2</v>
      </c>
    </row>
    <row r="18" spans="1:18" ht="12.75">
      <c r="A18" s="28"/>
      <c r="B18" s="35" t="s">
        <v>66</v>
      </c>
      <c r="C18" s="26"/>
      <c r="D18" s="30"/>
      <c r="E18" s="31"/>
      <c r="F18" s="8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4"/>
    </row>
    <row r="19" spans="1:18" ht="21" customHeight="1">
      <c r="A19" s="28">
        <v>2</v>
      </c>
      <c r="B19" s="29" t="s">
        <v>21</v>
      </c>
      <c r="C19" s="26">
        <v>1.5</v>
      </c>
      <c r="D19" s="30">
        <f>D17*90/100</f>
        <v>4091.364</v>
      </c>
      <c r="E19" s="31"/>
      <c r="F19" s="84">
        <f>ROUND(D19*1.1,0)</f>
        <v>4501</v>
      </c>
      <c r="G19" s="32"/>
      <c r="H19" s="32"/>
      <c r="I19" s="32"/>
      <c r="J19" s="32">
        <f>F19*C19*0.3</f>
        <v>2025.4499999999998</v>
      </c>
      <c r="K19" s="32"/>
      <c r="L19" s="32"/>
      <c r="M19" s="32"/>
      <c r="N19" s="32"/>
      <c r="O19" s="32"/>
      <c r="P19" s="32">
        <f>F19*C19*0.3</f>
        <v>2025.4499999999998</v>
      </c>
      <c r="Q19" s="33">
        <f>F19*C19+G19+H19+I19+J19+K19+L19+M19+N19+O19+P19</f>
        <v>10802.400000000001</v>
      </c>
      <c r="R19" s="34">
        <f aca="true" t="shared" si="0" ref="R19:R29">ROUND(Q19*12,2)</f>
        <v>129628.8</v>
      </c>
    </row>
    <row r="20" spans="1:18" ht="12.75">
      <c r="A20" s="28">
        <v>3</v>
      </c>
      <c r="B20" s="29" t="s">
        <v>22</v>
      </c>
      <c r="C20" s="26">
        <v>0</v>
      </c>
      <c r="D20" s="30">
        <v>0</v>
      </c>
      <c r="E20" s="31">
        <v>2.12</v>
      </c>
      <c r="F20" s="84">
        <f>ROUND(D20*1.1,0)</f>
        <v>0</v>
      </c>
      <c r="G20" s="32"/>
      <c r="H20" s="32"/>
      <c r="I20" s="32"/>
      <c r="J20" s="32">
        <f>F20*C20*0.2</f>
        <v>0</v>
      </c>
      <c r="K20" s="32"/>
      <c r="L20" s="32"/>
      <c r="M20" s="32"/>
      <c r="N20" s="32"/>
      <c r="O20" s="32"/>
      <c r="P20" s="32">
        <f>D20*C20*0.3</f>
        <v>0</v>
      </c>
      <c r="Q20" s="33">
        <f>F20*C20+G20+H20+I20+J20+K20+L20+M20+N20+O20+P20</f>
        <v>0</v>
      </c>
      <c r="R20" s="34">
        <f t="shared" si="0"/>
        <v>0</v>
      </c>
    </row>
    <row r="21" spans="1:18" ht="12.75">
      <c r="A21" s="28">
        <v>4</v>
      </c>
      <c r="B21" s="29" t="s">
        <v>23</v>
      </c>
      <c r="C21" s="26">
        <v>0.5</v>
      </c>
      <c r="D21" s="30">
        <f aca="true" t="shared" si="1" ref="D21:D42">E21*D$13</f>
        <v>2889.68</v>
      </c>
      <c r="E21" s="31">
        <v>1.64</v>
      </c>
      <c r="F21" s="32"/>
      <c r="G21" s="32"/>
      <c r="H21" s="32"/>
      <c r="I21" s="32"/>
      <c r="J21" s="32"/>
      <c r="K21" s="32">
        <f>D21*C21*0.5</f>
        <v>722.42</v>
      </c>
      <c r="L21" s="32"/>
      <c r="M21" s="32"/>
      <c r="N21" s="32"/>
      <c r="O21" s="32"/>
      <c r="P21" s="32">
        <f>D21*C21*0.3</f>
        <v>433.45199999999994</v>
      </c>
      <c r="Q21" s="33">
        <f aca="true" t="shared" si="2" ref="Q21:Q29">D21*C21+G21+H21+I21+J21+K21+L21+M21+N21+O21+P21</f>
        <v>2600.7119999999995</v>
      </c>
      <c r="R21" s="34">
        <f t="shared" si="0"/>
        <v>31208.54</v>
      </c>
    </row>
    <row r="22" spans="1:18" ht="12.75">
      <c r="A22" s="28">
        <v>5</v>
      </c>
      <c r="B22" s="29" t="s">
        <v>70</v>
      </c>
      <c r="C22" s="26">
        <v>0.5</v>
      </c>
      <c r="D22" s="30">
        <f t="shared" si="1"/>
        <v>2237.7400000000002</v>
      </c>
      <c r="E22" s="31">
        <v>1.27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>
        <f t="shared" si="2"/>
        <v>1118.8700000000001</v>
      </c>
      <c r="R22" s="34">
        <f t="shared" si="0"/>
        <v>13426.44</v>
      </c>
    </row>
    <row r="23" spans="1:18" ht="12.75">
      <c r="A23" s="28">
        <v>6</v>
      </c>
      <c r="B23" s="29" t="s">
        <v>24</v>
      </c>
      <c r="C23" s="26">
        <v>0</v>
      </c>
      <c r="D23" s="30">
        <f t="shared" si="1"/>
        <v>2713.48</v>
      </c>
      <c r="E23" s="31">
        <v>1.54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>
        <f t="shared" si="2"/>
        <v>0</v>
      </c>
      <c r="R23" s="34">
        <f t="shared" si="0"/>
        <v>0</v>
      </c>
    </row>
    <row r="24" spans="1:18" ht="22.5">
      <c r="A24" s="28">
        <v>7</v>
      </c>
      <c r="B24" s="29" t="s">
        <v>25</v>
      </c>
      <c r="C24" s="26">
        <v>1</v>
      </c>
      <c r="D24" s="30">
        <f t="shared" si="1"/>
        <v>1920.5800000000002</v>
      </c>
      <c r="E24" s="31">
        <v>1.09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>
        <f t="shared" si="2"/>
        <v>1920.5800000000002</v>
      </c>
      <c r="R24" s="34">
        <f t="shared" si="0"/>
        <v>23046.96</v>
      </c>
    </row>
    <row r="25" spans="1:18" ht="12.75">
      <c r="A25" s="28">
        <v>8</v>
      </c>
      <c r="B25" s="29" t="s">
        <v>26</v>
      </c>
      <c r="C25" s="26">
        <v>0.5</v>
      </c>
      <c r="D25" s="30">
        <f t="shared" si="1"/>
        <v>2079.16</v>
      </c>
      <c r="E25" s="31">
        <v>1.18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>
        <f t="shared" si="2"/>
        <v>1039.58</v>
      </c>
      <c r="R25" s="34">
        <f t="shared" si="0"/>
        <v>12474.96</v>
      </c>
    </row>
    <row r="26" spans="1:18" ht="12.75">
      <c r="A26" s="28">
        <v>9</v>
      </c>
      <c r="B26" s="29" t="s">
        <v>27</v>
      </c>
      <c r="C26" s="26">
        <v>0.5</v>
      </c>
      <c r="D26" s="30">
        <f t="shared" si="1"/>
        <v>1762</v>
      </c>
      <c r="E26" s="31">
        <v>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>
        <f t="shared" si="2"/>
        <v>881</v>
      </c>
      <c r="R26" s="34">
        <f t="shared" si="0"/>
        <v>10572</v>
      </c>
    </row>
    <row r="27" spans="1:18" ht="12.75">
      <c r="A27" s="28">
        <v>10</v>
      </c>
      <c r="B27" s="29" t="s">
        <v>28</v>
      </c>
      <c r="C27" s="26">
        <v>1</v>
      </c>
      <c r="D27" s="30">
        <f t="shared" si="1"/>
        <v>1762</v>
      </c>
      <c r="E27" s="31">
        <v>1</v>
      </c>
      <c r="F27" s="32"/>
      <c r="G27" s="32"/>
      <c r="H27" s="32"/>
      <c r="I27" s="32"/>
      <c r="J27" s="32"/>
      <c r="K27" s="32"/>
      <c r="L27" s="32"/>
      <c r="M27" s="32"/>
      <c r="N27" s="32"/>
      <c r="O27" s="36">
        <f>D27/165.5*0.4*240</f>
        <v>1022.0664652567978</v>
      </c>
      <c r="P27" s="32"/>
      <c r="Q27" s="33">
        <f t="shared" si="2"/>
        <v>2784.0664652567975</v>
      </c>
      <c r="R27" s="34">
        <f t="shared" si="0"/>
        <v>33408.8</v>
      </c>
    </row>
    <row r="28" spans="1:18" ht="12.75">
      <c r="A28" s="28">
        <v>11</v>
      </c>
      <c r="B28" s="29" t="s">
        <v>29</v>
      </c>
      <c r="C28" s="26">
        <v>1.3</v>
      </c>
      <c r="D28" s="30">
        <f t="shared" si="1"/>
        <v>1762</v>
      </c>
      <c r="E28" s="31">
        <v>1</v>
      </c>
      <c r="F28" s="32"/>
      <c r="G28" s="32"/>
      <c r="H28" s="32"/>
      <c r="I28" s="32"/>
      <c r="J28" s="32"/>
      <c r="K28" s="32"/>
      <c r="L28" s="32"/>
      <c r="M28" s="32">
        <f>D28*1*0.1</f>
        <v>176.20000000000002</v>
      </c>
      <c r="N28" s="32"/>
      <c r="O28" s="36"/>
      <c r="P28" s="32"/>
      <c r="Q28" s="33">
        <f t="shared" si="2"/>
        <v>2466.7999999999997</v>
      </c>
      <c r="R28" s="34">
        <f t="shared" si="0"/>
        <v>29601.6</v>
      </c>
    </row>
    <row r="29" spans="1:18" ht="18.75" customHeight="1">
      <c r="A29" s="28">
        <v>12</v>
      </c>
      <c r="B29" s="29" t="s">
        <v>30</v>
      </c>
      <c r="C29" s="26">
        <v>1</v>
      </c>
      <c r="D29" s="30">
        <f t="shared" si="1"/>
        <v>1920.5800000000002</v>
      </c>
      <c r="E29" s="31">
        <v>1.09</v>
      </c>
      <c r="F29" s="32"/>
      <c r="G29" s="32"/>
      <c r="H29" s="32"/>
      <c r="I29" s="32"/>
      <c r="J29" s="32"/>
      <c r="K29" s="32"/>
      <c r="L29" s="32"/>
      <c r="M29" s="32"/>
      <c r="N29" s="32"/>
      <c r="O29" s="36">
        <f>D29/165.5*0.4*240</f>
        <v>1114.0524471299095</v>
      </c>
      <c r="P29" s="32"/>
      <c r="Q29" s="33">
        <f t="shared" si="2"/>
        <v>3034.6324471299095</v>
      </c>
      <c r="R29" s="34">
        <f t="shared" si="0"/>
        <v>36415.59</v>
      </c>
    </row>
    <row r="30" spans="1:18" ht="12.75">
      <c r="A30" s="28"/>
      <c r="B30" s="35" t="s">
        <v>67</v>
      </c>
      <c r="C30" s="26"/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</row>
    <row r="31" spans="1:18" ht="12.75">
      <c r="A31" s="28">
        <v>13</v>
      </c>
      <c r="B31" s="29" t="s">
        <v>44</v>
      </c>
      <c r="C31" s="26">
        <v>1</v>
      </c>
      <c r="D31" s="30">
        <f>D19</f>
        <v>4091.364</v>
      </c>
      <c r="E31" s="31"/>
      <c r="F31" s="32"/>
      <c r="G31" s="32"/>
      <c r="H31" s="32"/>
      <c r="I31" s="32"/>
      <c r="J31" s="32">
        <f>D31*C31*0.2</f>
        <v>818.2728000000001</v>
      </c>
      <c r="K31" s="32"/>
      <c r="L31" s="32"/>
      <c r="M31" s="32"/>
      <c r="N31" s="32"/>
      <c r="O31" s="32"/>
      <c r="P31" s="32">
        <f>D31*C31*0.3</f>
        <v>1227.4092</v>
      </c>
      <c r="Q31" s="33">
        <f aca="true" t="shared" si="3" ref="Q31:Q42">D31*C31+G31+H31+I31+J31+K31+L31+M31+N31+O31+P31</f>
        <v>6137.046</v>
      </c>
      <c r="R31" s="34">
        <f aca="true" t="shared" si="4" ref="R31:R43">ROUND(Q31*12,2)</f>
        <v>73644.55</v>
      </c>
    </row>
    <row r="32" spans="1:18" ht="12.75">
      <c r="A32" s="28">
        <v>14</v>
      </c>
      <c r="B32" s="29" t="s">
        <v>31</v>
      </c>
      <c r="C32" s="26">
        <v>0.25</v>
      </c>
      <c r="D32" s="30">
        <f t="shared" si="1"/>
        <v>3735.44</v>
      </c>
      <c r="E32" s="31">
        <v>2.12</v>
      </c>
      <c r="F32" s="32"/>
      <c r="G32" s="32"/>
      <c r="H32" s="32"/>
      <c r="I32" s="32"/>
      <c r="J32" s="32">
        <f>D32*C32*0.2</f>
        <v>186.77200000000002</v>
      </c>
      <c r="K32" s="32"/>
      <c r="L32" s="32"/>
      <c r="M32" s="32"/>
      <c r="N32" s="32"/>
      <c r="O32" s="32"/>
      <c r="P32" s="32">
        <f>D32*C32*0.3</f>
        <v>280.158</v>
      </c>
      <c r="Q32" s="33">
        <f t="shared" si="3"/>
        <v>1400.79</v>
      </c>
      <c r="R32" s="34">
        <f t="shared" si="4"/>
        <v>16809.48</v>
      </c>
    </row>
    <row r="33" spans="1:18" ht="12.75">
      <c r="A33" s="28">
        <v>15</v>
      </c>
      <c r="B33" s="29" t="s">
        <v>32</v>
      </c>
      <c r="C33" s="26">
        <v>1.8</v>
      </c>
      <c r="D33" s="30">
        <f t="shared" si="1"/>
        <v>4264.04</v>
      </c>
      <c r="E33" s="31">
        <v>2.42</v>
      </c>
      <c r="F33" s="32"/>
      <c r="G33" s="32"/>
      <c r="H33" s="32"/>
      <c r="I33" s="32"/>
      <c r="J33" s="32">
        <f>D33*C33*0.2</f>
        <v>1535.0544</v>
      </c>
      <c r="K33" s="32"/>
      <c r="L33" s="32"/>
      <c r="M33" s="32"/>
      <c r="N33" s="32"/>
      <c r="O33" s="32"/>
      <c r="P33" s="32">
        <f>D33*C33*0.3</f>
        <v>2302.5816</v>
      </c>
      <c r="Q33" s="33">
        <f t="shared" si="3"/>
        <v>11512.908</v>
      </c>
      <c r="R33" s="34">
        <f t="shared" si="4"/>
        <v>138154.9</v>
      </c>
    </row>
    <row r="34" spans="1:18" ht="15" customHeight="1">
      <c r="A34" s="28">
        <v>16</v>
      </c>
      <c r="B34" s="29" t="s">
        <v>33</v>
      </c>
      <c r="C34" s="26">
        <v>0.5</v>
      </c>
      <c r="D34" s="30">
        <f t="shared" si="1"/>
        <v>2889.68</v>
      </c>
      <c r="E34" s="31">
        <v>1.64</v>
      </c>
      <c r="F34" s="32"/>
      <c r="G34" s="32"/>
      <c r="H34" s="32"/>
      <c r="I34" s="32"/>
      <c r="J34" s="32"/>
      <c r="K34" s="32"/>
      <c r="L34" s="32"/>
      <c r="M34" s="32"/>
      <c r="N34" s="32">
        <f>D34*C34*0.1</f>
        <v>144.484</v>
      </c>
      <c r="O34" s="32"/>
      <c r="P34" s="32">
        <f>(D34*C34+N34)*0.3</f>
        <v>476.7971999999999</v>
      </c>
      <c r="Q34" s="33">
        <f t="shared" si="3"/>
        <v>2066.1211999999996</v>
      </c>
      <c r="R34" s="34">
        <f t="shared" si="4"/>
        <v>24793.45</v>
      </c>
    </row>
    <row r="35" spans="1:18" ht="12.75">
      <c r="A35" s="28">
        <v>17</v>
      </c>
      <c r="B35" s="29" t="s">
        <v>24</v>
      </c>
      <c r="C35" s="26">
        <v>0.5</v>
      </c>
      <c r="D35" s="30">
        <f t="shared" si="1"/>
        <v>2713.48</v>
      </c>
      <c r="E35" s="31">
        <v>1.54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>
        <f t="shared" si="3"/>
        <v>1356.74</v>
      </c>
      <c r="R35" s="34">
        <f t="shared" si="4"/>
        <v>16280.88</v>
      </c>
    </row>
    <row r="36" spans="1:18" ht="12.75">
      <c r="A36" s="28">
        <v>18</v>
      </c>
      <c r="B36" s="29" t="s">
        <v>34</v>
      </c>
      <c r="C36" s="26">
        <v>1.15</v>
      </c>
      <c r="D36" s="30">
        <f t="shared" si="1"/>
        <v>2396.32</v>
      </c>
      <c r="E36" s="31">
        <v>1.36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>
        <f t="shared" si="3"/>
        <v>2755.768</v>
      </c>
      <c r="R36" s="34">
        <f t="shared" si="4"/>
        <v>33069.22</v>
      </c>
    </row>
    <row r="37" spans="1:18" ht="12.75">
      <c r="A37" s="28">
        <v>19</v>
      </c>
      <c r="B37" s="29" t="s">
        <v>26</v>
      </c>
      <c r="C37" s="26">
        <v>1</v>
      </c>
      <c r="D37" s="30">
        <f t="shared" si="1"/>
        <v>2079.16</v>
      </c>
      <c r="E37" s="31">
        <v>1.18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>
        <f t="shared" si="3"/>
        <v>2079.16</v>
      </c>
      <c r="R37" s="34">
        <f t="shared" si="4"/>
        <v>24949.92</v>
      </c>
    </row>
    <row r="38" spans="1:18" ht="12.75">
      <c r="A38" s="28">
        <v>20</v>
      </c>
      <c r="B38" s="29" t="s">
        <v>27</v>
      </c>
      <c r="C38" s="26">
        <v>0.5</v>
      </c>
      <c r="D38" s="30">
        <f t="shared" si="1"/>
        <v>1762</v>
      </c>
      <c r="E38" s="31">
        <v>1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>
        <f t="shared" si="3"/>
        <v>881</v>
      </c>
      <c r="R38" s="34">
        <f t="shared" si="4"/>
        <v>10572</v>
      </c>
    </row>
    <row r="39" spans="1:18" ht="12.75">
      <c r="A39" s="28">
        <v>21</v>
      </c>
      <c r="B39" s="29" t="s">
        <v>35</v>
      </c>
      <c r="C39" s="26">
        <v>0.25</v>
      </c>
      <c r="D39" s="30">
        <f t="shared" si="1"/>
        <v>1920.5800000000002</v>
      </c>
      <c r="E39" s="31">
        <v>1.09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>
        <f t="shared" si="3"/>
        <v>480.14500000000004</v>
      </c>
      <c r="R39" s="34">
        <f t="shared" si="4"/>
        <v>5761.74</v>
      </c>
    </row>
    <row r="40" spans="1:18" ht="12.75">
      <c r="A40" s="28">
        <v>22</v>
      </c>
      <c r="B40" s="29" t="s">
        <v>29</v>
      </c>
      <c r="C40" s="26">
        <v>0.5</v>
      </c>
      <c r="D40" s="30">
        <f t="shared" si="1"/>
        <v>1762</v>
      </c>
      <c r="E40" s="31">
        <v>1</v>
      </c>
      <c r="F40" s="32"/>
      <c r="G40" s="32"/>
      <c r="H40" s="32"/>
      <c r="I40" s="32"/>
      <c r="J40" s="32"/>
      <c r="K40" s="32"/>
      <c r="L40" s="32"/>
      <c r="M40" s="32">
        <f>D40*C40*0.1</f>
        <v>88.10000000000001</v>
      </c>
      <c r="N40" s="32"/>
      <c r="O40" s="32"/>
      <c r="P40" s="32"/>
      <c r="Q40" s="33">
        <f t="shared" si="3"/>
        <v>969.1</v>
      </c>
      <c r="R40" s="34">
        <f t="shared" si="4"/>
        <v>11629.2</v>
      </c>
    </row>
    <row r="41" spans="1:18" ht="12.75">
      <c r="A41" s="28">
        <v>23</v>
      </c>
      <c r="B41" s="29" t="s">
        <v>41</v>
      </c>
      <c r="C41" s="26">
        <v>1</v>
      </c>
      <c r="D41" s="30">
        <f t="shared" si="1"/>
        <v>1920.5800000000002</v>
      </c>
      <c r="E41" s="31">
        <v>1.09</v>
      </c>
      <c r="F41" s="32"/>
      <c r="G41" s="32"/>
      <c r="H41" s="32"/>
      <c r="I41" s="32"/>
      <c r="J41" s="32"/>
      <c r="K41" s="32"/>
      <c r="L41" s="32"/>
      <c r="M41" s="32"/>
      <c r="N41" s="32"/>
      <c r="O41" s="36">
        <f>D41/165.5*0.4*240</f>
        <v>1114.0524471299095</v>
      </c>
      <c r="P41" s="32"/>
      <c r="Q41" s="33">
        <f t="shared" si="3"/>
        <v>3034.6324471299095</v>
      </c>
      <c r="R41" s="34">
        <f t="shared" si="4"/>
        <v>36415.59</v>
      </c>
    </row>
    <row r="42" spans="1:18" ht="12.75">
      <c r="A42" s="28">
        <v>24</v>
      </c>
      <c r="B42" s="29" t="s">
        <v>28</v>
      </c>
      <c r="C42" s="26">
        <v>1</v>
      </c>
      <c r="D42" s="30">
        <f t="shared" si="1"/>
        <v>1762</v>
      </c>
      <c r="E42" s="31">
        <v>1</v>
      </c>
      <c r="F42" s="32"/>
      <c r="G42" s="32"/>
      <c r="H42" s="32"/>
      <c r="I42" s="32"/>
      <c r="J42" s="32"/>
      <c r="K42" s="32"/>
      <c r="L42" s="32"/>
      <c r="M42" s="32"/>
      <c r="N42" s="32"/>
      <c r="O42" s="36">
        <f>D42/166.75*0.4*240</f>
        <v>1014.4047976011994</v>
      </c>
      <c r="P42" s="32"/>
      <c r="Q42" s="33">
        <f t="shared" si="3"/>
        <v>2776.4047976011993</v>
      </c>
      <c r="R42" s="34">
        <f t="shared" si="4"/>
        <v>33316.86</v>
      </c>
    </row>
    <row r="43" spans="1:18" s="40" customFormat="1" ht="12" customHeight="1">
      <c r="A43" s="37"/>
      <c r="B43" s="37" t="s">
        <v>68</v>
      </c>
      <c r="C43" s="45">
        <f>SUM(C17:C42)</f>
        <v>18.25</v>
      </c>
      <c r="D43" s="39">
        <f>SUM(D17:D42)</f>
        <v>58981.18800000001</v>
      </c>
      <c r="E43" s="38"/>
      <c r="F43" s="38"/>
      <c r="G43" s="38">
        <f aca="true" t="shared" si="5" ref="G43:Q43">SUM(G17:G42)</f>
        <v>0</v>
      </c>
      <c r="H43" s="38">
        <f t="shared" si="5"/>
        <v>0</v>
      </c>
      <c r="I43" s="38">
        <f t="shared" si="5"/>
        <v>0</v>
      </c>
      <c r="J43" s="38">
        <f t="shared" si="5"/>
        <v>6065.8492</v>
      </c>
      <c r="K43" s="38">
        <f t="shared" si="5"/>
        <v>722.42</v>
      </c>
      <c r="L43" s="38">
        <f t="shared" si="5"/>
        <v>0</v>
      </c>
      <c r="M43" s="38">
        <f t="shared" si="5"/>
        <v>264.3</v>
      </c>
      <c r="N43" s="38">
        <f t="shared" si="5"/>
        <v>144.484</v>
      </c>
      <c r="O43" s="38">
        <f t="shared" si="5"/>
        <v>4264.576157117816</v>
      </c>
      <c r="P43" s="38">
        <f t="shared" si="5"/>
        <v>8246.148</v>
      </c>
      <c r="Q43" s="38">
        <f t="shared" si="5"/>
        <v>70100.0563571178</v>
      </c>
      <c r="R43" s="34">
        <f t="shared" si="4"/>
        <v>841200.68</v>
      </c>
    </row>
    <row r="44" spans="1:19" s="44" customFormat="1" ht="11.25">
      <c r="A44" s="41"/>
      <c r="B44" s="42" t="s">
        <v>39</v>
      </c>
      <c r="C44" s="67">
        <v>18</v>
      </c>
      <c r="D44" s="43">
        <f>(Q44-P44-J44-G44-H44-I44)/C44</f>
        <v>4744.638333333332</v>
      </c>
      <c r="E44" s="43"/>
      <c r="F44" s="82">
        <f>D44</f>
        <v>4744.638333333332</v>
      </c>
      <c r="G44" s="49">
        <f>G46*R$46</f>
        <v>3549.75</v>
      </c>
      <c r="H44" s="49">
        <f>H46*R$46</f>
        <v>5057.06</v>
      </c>
      <c r="I44" s="49">
        <f>I46*R$46</f>
        <v>1413.69</v>
      </c>
      <c r="J44" s="49">
        <f>(J46*R46)-(J17+J19+J20)</f>
        <v>16779.93</v>
      </c>
      <c r="K44" s="49">
        <f>K46*S$46</f>
        <v>0</v>
      </c>
      <c r="L44" s="49">
        <f>L46*T$46</f>
        <v>0</v>
      </c>
      <c r="M44" s="49">
        <f>M46*U$46</f>
        <v>0</v>
      </c>
      <c r="N44" s="49">
        <f>N46*V$46</f>
        <v>0</v>
      </c>
      <c r="O44" s="49">
        <f>O46*W$46</f>
        <v>0</v>
      </c>
      <c r="P44" s="49">
        <f>(P46*R46)-(P17+P19+P20)</f>
        <v>14210.52</v>
      </c>
      <c r="Q44" s="49">
        <v>126414.44</v>
      </c>
      <c r="R44" s="50">
        <f>Q44*12</f>
        <v>1516973.28</v>
      </c>
      <c r="S44" s="51"/>
    </row>
    <row r="45" spans="1:18" s="40" customFormat="1" ht="15.75" customHeight="1">
      <c r="A45" s="37"/>
      <c r="B45" s="37" t="s">
        <v>68</v>
      </c>
      <c r="C45" s="45">
        <f>C43+C44</f>
        <v>36.25</v>
      </c>
      <c r="D45" s="39">
        <f>D43+D44</f>
        <v>63725.826333333345</v>
      </c>
      <c r="E45" s="39"/>
      <c r="F45" s="39"/>
      <c r="G45" s="38">
        <f aca="true" t="shared" si="6" ref="G45:R45">G43+G44</f>
        <v>3549.75</v>
      </c>
      <c r="H45" s="38">
        <f t="shared" si="6"/>
        <v>5057.06</v>
      </c>
      <c r="I45" s="38">
        <f t="shared" si="6"/>
        <v>1413.69</v>
      </c>
      <c r="J45" s="38">
        <f t="shared" si="6"/>
        <v>22845.7792</v>
      </c>
      <c r="K45" s="38">
        <f t="shared" si="6"/>
        <v>722.42</v>
      </c>
      <c r="L45" s="38">
        <f t="shared" si="6"/>
        <v>0</v>
      </c>
      <c r="M45" s="38">
        <f t="shared" si="6"/>
        <v>264.3</v>
      </c>
      <c r="N45" s="38">
        <f t="shared" si="6"/>
        <v>144.484</v>
      </c>
      <c r="O45" s="38">
        <f t="shared" si="6"/>
        <v>4264.576157117816</v>
      </c>
      <c r="P45" s="38">
        <f t="shared" si="6"/>
        <v>22456.667999999998</v>
      </c>
      <c r="Q45" s="38">
        <f t="shared" si="6"/>
        <v>196514.4963571178</v>
      </c>
      <c r="R45" s="38">
        <f t="shared" si="6"/>
        <v>2358173.96</v>
      </c>
    </row>
    <row r="46" spans="7:18" ht="12.75">
      <c r="G46" s="72">
        <v>3549.75</v>
      </c>
      <c r="H46" s="71">
        <v>5057.06</v>
      </c>
      <c r="I46" s="71">
        <v>1413.69</v>
      </c>
      <c r="J46" s="71">
        <v>20305.68</v>
      </c>
      <c r="K46" s="71"/>
      <c r="L46" s="71"/>
      <c r="M46" s="71"/>
      <c r="N46" s="71"/>
      <c r="O46" s="71"/>
      <c r="P46" s="71">
        <v>17736.27</v>
      </c>
      <c r="R46" s="71">
        <v>1</v>
      </c>
    </row>
    <row r="47" spans="2:17" ht="14.25" customHeight="1">
      <c r="B47" s="108" t="s">
        <v>11</v>
      </c>
      <c r="C47" s="108"/>
      <c r="D47" s="108"/>
      <c r="E47" s="108"/>
      <c r="F47" s="83"/>
      <c r="L47" s="23"/>
      <c r="O47" s="23" t="s">
        <v>69</v>
      </c>
      <c r="P47" s="23"/>
      <c r="Q47" s="23"/>
    </row>
    <row r="48" spans="12:15" ht="12.75">
      <c r="L48" s="47" t="s">
        <v>42</v>
      </c>
      <c r="O48" s="48" t="s">
        <v>43</v>
      </c>
    </row>
    <row r="49" spans="2:17" ht="14.25" customHeight="1">
      <c r="B49" s="46" t="str">
        <f>ЗАПОЛНИТЬ!A11</f>
        <v>Головний бухгалтер </v>
      </c>
      <c r="C49" s="46"/>
      <c r="D49" s="46"/>
      <c r="E49" s="46"/>
      <c r="F49" s="83"/>
      <c r="G49" s="46"/>
      <c r="H49" s="46"/>
      <c r="I49" s="46"/>
      <c r="J49" s="46"/>
      <c r="K49" s="46"/>
      <c r="L49" s="46"/>
      <c r="M49" s="46"/>
      <c r="N49" s="46"/>
      <c r="O49" s="109" t="str">
        <f>ЗАПОЛНИТЬ!J11</f>
        <v>О.М. Рулевська</v>
      </c>
      <c r="P49" s="109"/>
      <c r="Q49" s="109"/>
    </row>
    <row r="50" spans="2:15" ht="15.75">
      <c r="B50" s="17"/>
      <c r="L50" s="47" t="s">
        <v>42</v>
      </c>
      <c r="O50" s="48" t="s">
        <v>43</v>
      </c>
    </row>
  </sheetData>
  <sheetProtection selectLockedCells="1" selectUnlockedCells="1"/>
  <mergeCells count="17">
    <mergeCell ref="R14:R16"/>
    <mergeCell ref="B47:E47"/>
    <mergeCell ref="O49:Q49"/>
    <mergeCell ref="N1:R3"/>
    <mergeCell ref="N8:R8"/>
    <mergeCell ref="N12:O12"/>
    <mergeCell ref="N6:R6"/>
    <mergeCell ref="N7:Q7"/>
    <mergeCell ref="Q10:R10"/>
    <mergeCell ref="A14:A16"/>
    <mergeCell ref="B14:B16"/>
    <mergeCell ref="C14:C16"/>
    <mergeCell ref="D14:D16"/>
    <mergeCell ref="Q14:Q16"/>
    <mergeCell ref="G14:P15"/>
    <mergeCell ref="F14:F16"/>
    <mergeCell ref="E14:E16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2017-10-03T12:13:24Z</cp:lastPrinted>
  <dcterms:created xsi:type="dcterms:W3CDTF">2015-09-30T12:37:12Z</dcterms:created>
  <dcterms:modified xsi:type="dcterms:W3CDTF">2018-10-10T17:15:21Z</dcterms:modified>
  <cp:category/>
  <cp:version/>
  <cp:contentType/>
  <cp:contentStatus/>
</cp:coreProperties>
</file>